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Tom Kehr\OneDrive - almo.com\Documents\Calculators\"/>
    </mc:Choice>
  </mc:AlternateContent>
  <xr:revisionPtr revIDLastSave="0" documentId="13_ncr:1_{4A31757F-BCD2-4F49-AB3F-9486DF9F9AA8}" xr6:coauthVersionLast="47" xr6:coauthVersionMax="47" xr10:uidLastSave="{00000000-0000-0000-0000-000000000000}"/>
  <bookViews>
    <workbookView xWindow="28680" yWindow="-120" windowWidth="29040" windowHeight="16440" xr2:uid="{00000000-000D-0000-FFFF-FFFF00000000}"/>
  </bookViews>
  <sheets>
    <sheet name="Calculations" sheetId="1" r:id="rId1"/>
    <sheet name="Ohms Law" sheetId="3"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E5" i="1" l="1"/>
  <c r="K12" i="1" l="1"/>
  <c r="K11" i="1"/>
  <c r="K13" i="1" l="1"/>
  <c r="M9" i="1"/>
  <c r="K9" i="1" s="1"/>
  <c r="D44" i="1" l="1"/>
  <c r="D45" i="1" s="1"/>
  <c r="F45" i="1" s="1"/>
  <c r="E16" i="2"/>
  <c r="E15" i="2"/>
  <c r="L26" i="3"/>
  <c r="L22" i="3"/>
  <c r="L18" i="3"/>
  <c r="D26" i="3"/>
  <c r="D23" i="3"/>
  <c r="D20" i="3"/>
  <c r="D17" i="3"/>
  <c r="F10" i="3"/>
  <c r="H10" i="3" s="1"/>
  <c r="H9" i="3"/>
  <c r="F9" i="3"/>
  <c r="H8" i="3"/>
  <c r="F8" i="3"/>
  <c r="F7" i="3"/>
  <c r="H7" i="3" s="1"/>
  <c r="H6" i="3"/>
  <c r="F6" i="3"/>
  <c r="H5" i="3"/>
  <c r="F5" i="3"/>
  <c r="D26" i="1"/>
  <c r="D10" i="1" l="1"/>
  <c r="I37" i="1" l="1"/>
  <c r="K37" i="1" s="1"/>
  <c r="D9" i="1"/>
  <c r="D11" i="1"/>
  <c r="J18" i="1" s="1"/>
  <c r="D13" i="1" l="1"/>
</calcChain>
</file>

<file path=xl/sharedStrings.xml><?xml version="1.0" encoding="utf-8"?>
<sst xmlns="http://schemas.openxmlformats.org/spreadsheetml/2006/main" count="199" uniqueCount="158">
  <si>
    <t>FV</t>
  </si>
  <si>
    <t>Image Size (Diagonal)</t>
  </si>
  <si>
    <t>Image Size (Height)</t>
  </si>
  <si>
    <t>Image Size (Width)</t>
  </si>
  <si>
    <t>Width</t>
  </si>
  <si>
    <t>Height</t>
  </si>
  <si>
    <t>Feet:</t>
  </si>
  <si>
    <t>Inches:</t>
  </si>
  <si>
    <t>Width:</t>
  </si>
  <si>
    <t>Height:</t>
  </si>
  <si>
    <t>More often than not, an "element" can be described as lower case text (a, e, u) with no ascenders (b, k, t) or descenders (g, j, q).</t>
  </si>
  <si>
    <t>Minimum element size:</t>
  </si>
  <si>
    <t>BDM (Basic Decision Making) per the AXIXA V202 standard uses an Acuity Factor of 200 and FV.</t>
  </si>
  <si>
    <t>inches</t>
  </si>
  <si>
    <t>Client:</t>
  </si>
  <si>
    <t>Project Name:</t>
  </si>
  <si>
    <t>Closest Viewer</t>
  </si>
  <si>
    <t>Distance from floor to bottom of image (should be no less than 48 inches):</t>
  </si>
  <si>
    <t>Eye Height:</t>
  </si>
  <si>
    <t>CV</t>
  </si>
  <si>
    <t>feet</t>
  </si>
  <si>
    <r>
      <t xml:space="preserve">Coventional eye height used for </t>
    </r>
    <r>
      <rPr>
        <b/>
        <sz val="11"/>
        <color theme="1"/>
        <rFont val="Calibri"/>
        <family val="2"/>
        <scheme val="minor"/>
      </rPr>
      <t xml:space="preserve">persons seated: 48 inches </t>
    </r>
  </si>
  <si>
    <r>
      <t xml:space="preserve">Coventional eye height used for </t>
    </r>
    <r>
      <rPr>
        <b/>
        <sz val="11"/>
        <color theme="1"/>
        <rFont val="Calibri"/>
        <family val="2"/>
        <scheme val="minor"/>
      </rPr>
      <t xml:space="preserve">persons standing:  62 inches </t>
    </r>
  </si>
  <si>
    <t>CV (Closest Viewer) is an ergonomic criteria and relates to maximum angle needed to see to the top of the image.</t>
  </si>
  <si>
    <t>Room:</t>
  </si>
  <si>
    <t>Project Address:</t>
  </si>
  <si>
    <t>Quote Needed by:</t>
  </si>
  <si>
    <t>Desired Date of First Use:</t>
  </si>
  <si>
    <t>Room Type:</t>
  </si>
  <si>
    <t>Boardroom, Training/Class Room, Meeting/VideoConference Room, Auditorium, Office, Cafeteria, Gym, Signage, NOC/EOC</t>
  </si>
  <si>
    <t>New System or Upgrade?</t>
  </si>
  <si>
    <t>New Construction, Renovation or Existing Space?</t>
  </si>
  <si>
    <t>Design Considerations:</t>
  </si>
  <si>
    <t>Ease of Use</t>
  </si>
  <si>
    <t>Reliability</t>
  </si>
  <si>
    <t>Aesthetics</t>
  </si>
  <si>
    <t>Are there Architectural drawings available?</t>
  </si>
  <si>
    <t>Room Size</t>
  </si>
  <si>
    <t>Length</t>
  </si>
  <si>
    <t>If Upgrade, are there drawings available for the existing system?</t>
  </si>
  <si>
    <t>If Upgrade, is there an existing Control System?</t>
  </si>
  <si>
    <t>Expandability</t>
  </si>
  <si>
    <t>Control System Manufacturer:</t>
  </si>
  <si>
    <t>Does the Client have the uncomplied Control Code?</t>
  </si>
  <si>
    <t>What kind of Content will be shared?</t>
  </si>
  <si>
    <t>PowerPoint/Word</t>
  </si>
  <si>
    <t>Excel</t>
  </si>
  <si>
    <t>Video Conferencing</t>
  </si>
  <si>
    <t>Maps or Technical Drawings</t>
  </si>
  <si>
    <t>Media Rich (Marketing media, DVD, BluRay)</t>
  </si>
  <si>
    <t>What Sources are required?</t>
  </si>
  <si>
    <t>Dedicated PC</t>
  </si>
  <si>
    <t>Laptop(s)</t>
  </si>
  <si>
    <t>BYOD</t>
  </si>
  <si>
    <t>DVD/BluRay</t>
  </si>
  <si>
    <t>Document Camera</t>
  </si>
  <si>
    <t>Cable or Satellite TV</t>
  </si>
  <si>
    <t>HDMI</t>
  </si>
  <si>
    <t>USB-C</t>
  </si>
  <si>
    <t>DisplayPort</t>
  </si>
  <si>
    <t>Wireless</t>
  </si>
  <si>
    <t>What kind of Audio is required?</t>
  </si>
  <si>
    <t>Playback</t>
  </si>
  <si>
    <t>Audio and Video Conferencing</t>
  </si>
  <si>
    <t>In-Room Reinforcement</t>
  </si>
  <si>
    <t>Headmic</t>
  </si>
  <si>
    <t>Ceiling (Ceiling mics are not always possible with in-room reinforcement.  A Zoned system will probbaly be required.)</t>
  </si>
  <si>
    <t>IP-Based</t>
  </si>
  <si>
    <t>What kind of Control is required?</t>
  </si>
  <si>
    <t>Button Panel</t>
  </si>
  <si>
    <t>Wired Touch Panel</t>
  </si>
  <si>
    <t>Wireless Touch Panel</t>
  </si>
  <si>
    <t>Web-based-Browser</t>
  </si>
  <si>
    <t>Other Considerations:</t>
  </si>
  <si>
    <t>Equipment Rack Enclosures</t>
  </si>
  <si>
    <t>Lavalier microphones</t>
  </si>
  <si>
    <t>Handheld microphones</t>
  </si>
  <si>
    <t>Microphones - Wired</t>
  </si>
  <si>
    <t>Microphones - Wireless</t>
  </si>
  <si>
    <t>Table microphones (Gooseneck, Boundary, Button)</t>
  </si>
  <si>
    <t>Table microphones (Gooseneck, Boundary)</t>
  </si>
  <si>
    <t>watts</t>
  </si>
  <si>
    <t>volts</t>
  </si>
  <si>
    <t>R = E/I, P=E*I</t>
  </si>
  <si>
    <t>I = E/R, P = E^2/R</t>
  </si>
  <si>
    <t>R = E^2/P, I=P/E</t>
  </si>
  <si>
    <t>E = I*R, P = I^2*R</t>
  </si>
  <si>
    <t>I = SQRT(P/R), E = SQRT(P*R)</t>
  </si>
  <si>
    <t>R = P/I^2, E = P/I</t>
  </si>
  <si>
    <t>Enter Volts</t>
  </si>
  <si>
    <t>Enter Amps</t>
  </si>
  <si>
    <t>Enter Watts</t>
  </si>
  <si>
    <t>and Resistance</t>
  </si>
  <si>
    <t>and Watts</t>
  </si>
  <si>
    <t>and ResistanceZ</t>
  </si>
  <si>
    <t>and Amps</t>
  </si>
  <si>
    <t>Resistance =</t>
  </si>
  <si>
    <t>Amps =</t>
  </si>
  <si>
    <t>Volts =</t>
  </si>
  <si>
    <t>Watts =</t>
  </si>
  <si>
    <t>Convert dBu to dBV:</t>
  </si>
  <si>
    <t>Enter dBu:</t>
  </si>
  <si>
    <t>dBu</t>
  </si>
  <si>
    <t>Read dBV</t>
  </si>
  <si>
    <t>dBV</t>
  </si>
  <si>
    <t>Convert dBV to dBu:</t>
  </si>
  <si>
    <t>Enter dBV:</t>
  </si>
  <si>
    <t>Read dBu:</t>
  </si>
  <si>
    <t>Convert dBu to Volts:</t>
  </si>
  <si>
    <t>Enter dBu</t>
  </si>
  <si>
    <t>Read volts:</t>
  </si>
  <si>
    <t>Convert Volts to dBu:</t>
  </si>
  <si>
    <t>Enter volts:</t>
  </si>
  <si>
    <t>Compare the dB difference in Power:</t>
  </si>
  <si>
    <t>Enter first power</t>
  </si>
  <si>
    <t>Enter second power</t>
  </si>
  <si>
    <t>Read Level difference</t>
  </si>
  <si>
    <t>dB</t>
  </si>
  <si>
    <t xml:space="preserve">Compare the dB difference in Distance: </t>
  </si>
  <si>
    <t>First distance:</t>
  </si>
  <si>
    <t>Second distance:</t>
  </si>
  <si>
    <t>Read Level difference:</t>
  </si>
  <si>
    <t>Compare the dB difference in Voltage:</t>
  </si>
  <si>
    <t>Enter first voltage</t>
  </si>
  <si>
    <t>Enter second voltage</t>
  </si>
  <si>
    <t>dB = 20*Log(V1/V2)</t>
  </si>
  <si>
    <t>dB = 10*Log(P1/P2)</t>
  </si>
  <si>
    <t>dB = 20*Log(D1/D2)</t>
  </si>
  <si>
    <t>ENTER</t>
  </si>
  <si>
    <t>DISCOVER</t>
  </si>
  <si>
    <t>CONVERSIONS</t>
  </si>
  <si>
    <t>Closest Viewer - Basic Decision Making (BDM)</t>
  </si>
  <si>
    <t>Element Sizing - Basic Decision Making (BDM)</t>
  </si>
  <si>
    <t>Closest Viewer - Analytic Decision Making (ADM)</t>
  </si>
  <si>
    <t>Cubic Feet:</t>
  </si>
  <si>
    <t>Square Feet:</t>
  </si>
  <si>
    <t>The AVIXA standard as well as other resources use an Acuity Factor of 3438 for ADM.  This is the ability to resolve every element (pixel) of a displayed image.  The AVIXA standard for ADM defines the FV, meaning that anyone closer than the FV distance can resolve pixel level detail.  This would also be the same as the CV distance for dVLED pixel pitch.</t>
  </si>
  <si>
    <t>Pixel Pitch (in mm)</t>
  </si>
  <si>
    <t>Pixel Pitch (in inches)</t>
  </si>
  <si>
    <t>Services:</t>
  </si>
  <si>
    <t>What kind of Mounting is required?</t>
  </si>
  <si>
    <t>Wall</t>
  </si>
  <si>
    <t>Ceiling</t>
  </si>
  <si>
    <t>Enter FV</t>
  </si>
  <si>
    <t>Enter Diagonal</t>
  </si>
  <si>
    <t>Enter Diagonal and Aspect Ratio, Discover FV (Furthest Viewer)</t>
  </si>
  <si>
    <t>Enter FV (Furthest Viewer) and Aspect Ratio, Discover Image Size</t>
  </si>
  <si>
    <t>Enter Aspect Ratio</t>
  </si>
  <si>
    <t>Display Sizing - Basic Decision Making (BDM) and Assuming a 3% Element Height</t>
  </si>
  <si>
    <t>Image Area</t>
  </si>
  <si>
    <t>Sq. ft.</t>
  </si>
  <si>
    <t>Projector Lumens</t>
  </si>
  <si>
    <t>Lux:</t>
  </si>
  <si>
    <t>fc:</t>
  </si>
  <si>
    <t>Enter ambient light measurement at the screen location in foot-candles (fc)</t>
  </si>
  <si>
    <t>Enter contrast ratio desired (Use 15 from BDM category in ANSI std.)</t>
  </si>
  <si>
    <t>If light measurement is in Lux, convert to foot-candles</t>
  </si>
  <si>
    <r>
      <rPr>
        <b/>
        <sz val="11"/>
        <color theme="1"/>
        <rFont val="Calibri"/>
        <family val="2"/>
        <scheme val="minor"/>
      </rPr>
      <t>Projector Lumens Needed</t>
    </r>
    <r>
      <rPr>
        <sz val="11"/>
        <color theme="1"/>
        <rFont val="Calibri"/>
        <family val="2"/>
        <scheme val="minor"/>
      </rPr>
      <t xml:space="preserve"> (assuming Laser projector)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</si>
</sst>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_(* #,##0.000_);_(* \(#,##0.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13"/>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0" fillId="0" borderId="0" xfId="0" applyAlignment="1">
      <alignment horizontal="right"/>
    </xf>
    <xf numFmtId="0" fontId="2"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Alignment="1">
      <alignment horizontal="center"/>
    </xf>
    <xf numFmtId="0" fontId="0" fillId="0" borderId="8" xfId="0" applyBorder="1"/>
    <xf numFmtId="0" fontId="0" fillId="0" borderId="9" xfId="0" applyBorder="1"/>
    <xf numFmtId="0" fontId="0" fillId="0" borderId="10" xfId="0" applyBorder="1"/>
    <xf numFmtId="0" fontId="2" fillId="0" borderId="6" xfId="0" applyFont="1" applyBorder="1"/>
    <xf numFmtId="0" fontId="0" fillId="4" borderId="2" xfId="0" applyFill="1" applyBorder="1" applyProtection="1">
      <protection locked="0"/>
    </xf>
    <xf numFmtId="165" fontId="3" fillId="3" borderId="2" xfId="0" applyNumberFormat="1" applyFont="1" applyFill="1" applyBorder="1"/>
    <xf numFmtId="3" fontId="3" fillId="3" borderId="2" xfId="0" applyNumberFormat="1" applyFont="1" applyFill="1" applyBorder="1"/>
    <xf numFmtId="3" fontId="3" fillId="3" borderId="2" xfId="1" applyNumberFormat="1" applyFont="1" applyFill="1" applyBorder="1" applyAlignment="1"/>
    <xf numFmtId="0" fontId="3" fillId="3" borderId="2" xfId="0" applyFont="1" applyFill="1" applyBorder="1"/>
    <xf numFmtId="166" fontId="3" fillId="3" borderId="2" xfId="1" applyNumberFormat="1" applyFont="1" applyFill="1" applyBorder="1"/>
    <xf numFmtId="43" fontId="3" fillId="3" borderId="2" xfId="1" applyFont="1" applyFill="1" applyBorder="1"/>
    <xf numFmtId="2" fontId="3" fillId="3" borderId="2" xfId="0" applyNumberFormat="1" applyFont="1" applyFill="1" applyBorder="1"/>
    <xf numFmtId="0" fontId="0" fillId="4" borderId="11" xfId="0" applyFill="1" applyBorder="1" applyProtection="1">
      <protection locked="0"/>
    </xf>
    <xf numFmtId="165" fontId="3" fillId="3" borderId="11" xfId="0" applyNumberFormat="1" applyFont="1" applyFill="1" applyBorder="1"/>
    <xf numFmtId="0" fontId="0" fillId="0" borderId="6" xfId="0" applyBorder="1" applyAlignment="1">
      <alignment horizontal="center"/>
    </xf>
    <xf numFmtId="165" fontId="0" fillId="0" borderId="0" xfId="0" applyNumberFormat="1" applyAlignment="1">
      <alignment horizontal="center"/>
    </xf>
    <xf numFmtId="0" fontId="0" fillId="0" borderId="3" xfId="0" applyBorder="1"/>
    <xf numFmtId="0" fontId="0" fillId="2" borderId="0" xfId="0" applyFill="1"/>
    <xf numFmtId="0" fontId="0" fillId="3" borderId="0" xfId="0" applyFill="1"/>
    <xf numFmtId="0" fontId="0" fillId="0" borderId="13" xfId="0" applyBorder="1"/>
    <xf numFmtId="0" fontId="0" fillId="0" borderId="14" xfId="0" applyBorder="1"/>
    <xf numFmtId="0" fontId="0" fillId="0" borderId="15" xfId="0" applyBorder="1"/>
    <xf numFmtId="0" fontId="2" fillId="0" borderId="0" xfId="0" applyFont="1"/>
    <xf numFmtId="0" fontId="2" fillId="0" borderId="0" xfId="0" applyFont="1" applyAlignment="1">
      <alignment horizontal="right"/>
    </xf>
    <xf numFmtId="0" fontId="2" fillId="0" borderId="6" xfId="0" applyFont="1" applyBorder="1" applyAlignment="1">
      <alignment horizontal="right"/>
    </xf>
    <xf numFmtId="164" fontId="0" fillId="0" borderId="0" xfId="0" applyNumberFormat="1" applyAlignment="1">
      <alignment horizontal="center"/>
    </xf>
    <xf numFmtId="0" fontId="0" fillId="3" borderId="1" xfId="0" applyFill="1" applyBorder="1" applyAlignment="1">
      <alignment horizontal="center"/>
    </xf>
    <xf numFmtId="0" fontId="0" fillId="0" borderId="0" xfId="0" applyProtection="1">
      <protection locked="0"/>
    </xf>
    <xf numFmtId="164" fontId="0" fillId="3" borderId="1" xfId="0" applyNumberFormat="1" applyFill="1" applyBorder="1" applyAlignment="1">
      <alignment horizontal="center"/>
    </xf>
    <xf numFmtId="0" fontId="0" fillId="3" borderId="2" xfId="0" applyFill="1" applyBorder="1"/>
    <xf numFmtId="164" fontId="0" fillId="3" borderId="2" xfId="0" applyNumberFormat="1" applyFill="1" applyBorder="1"/>
    <xf numFmtId="0" fontId="0" fillId="2" borderId="1" xfId="0" applyFill="1" applyBorder="1" applyAlignment="1" applyProtection="1">
      <alignment horizontal="center"/>
      <protection locked="0"/>
    </xf>
    <xf numFmtId="0" fontId="0" fillId="2" borderId="1" xfId="0" applyFill="1" applyBorder="1" applyProtection="1">
      <protection locked="0"/>
    </xf>
    <xf numFmtId="0" fontId="0" fillId="2" borderId="2" xfId="0" applyFill="1" applyBorder="1" applyProtection="1">
      <protection locked="0"/>
    </xf>
    <xf numFmtId="0" fontId="2" fillId="0" borderId="9" xfId="0" applyFont="1" applyBorder="1" applyAlignment="1">
      <alignment horizontal="right"/>
    </xf>
    <xf numFmtId="0" fontId="2" fillId="0" borderId="9" xfId="0" applyFont="1" applyBorder="1"/>
    <xf numFmtId="0" fontId="0" fillId="2" borderId="17" xfId="0" applyFill="1" applyBorder="1"/>
    <xf numFmtId="0" fontId="0" fillId="3" borderId="17" xfId="0" applyFill="1" applyBorder="1" applyProtection="1">
      <protection locked="0"/>
    </xf>
    <xf numFmtId="0" fontId="0" fillId="2" borderId="16" xfId="0" applyFill="1" applyBorder="1" applyAlignment="1">
      <alignment horizontal="center"/>
    </xf>
    <xf numFmtId="0" fontId="0" fillId="3" borderId="16" xfId="0" applyFill="1" applyBorder="1" applyAlignment="1" applyProtection="1">
      <alignment horizontal="center"/>
      <protection locked="0"/>
    </xf>
    <xf numFmtId="1" fontId="0" fillId="3" borderId="1" xfId="0" applyNumberFormat="1" applyFill="1" applyBorder="1" applyAlignment="1">
      <alignment horizontal="center"/>
    </xf>
    <xf numFmtId="0" fontId="0" fillId="0" borderId="0" xfId="0" applyAlignment="1">
      <alignment horizontal="left" vertical="top" wrapText="1"/>
    </xf>
    <xf numFmtId="0" fontId="2" fillId="0" borderId="6" xfId="0" applyFont="1" applyBorder="1" applyAlignment="1">
      <alignment horizontal="right"/>
    </xf>
    <xf numFmtId="0" fontId="2" fillId="0" borderId="0" xfId="0" applyFont="1" applyAlignment="1">
      <alignment horizontal="right"/>
    </xf>
    <xf numFmtId="0" fontId="2" fillId="0" borderId="12" xfId="0" applyFont="1" applyBorder="1" applyAlignment="1">
      <alignment horizontal="right"/>
    </xf>
    <xf numFmtId="0" fontId="0" fillId="0" borderId="6" xfId="0" applyBorder="1" applyAlignment="1">
      <alignment horizontal="right"/>
    </xf>
    <xf numFmtId="0" fontId="0" fillId="0" borderId="0" xfId="0" applyAlignment="1">
      <alignment horizontal="right"/>
    </xf>
    <xf numFmtId="0" fontId="0" fillId="0" borderId="12" xfId="0" applyBorder="1" applyAlignment="1">
      <alignment horizontal="right"/>
    </xf>
    <xf numFmtId="0" fontId="0" fillId="0" borderId="2" xfId="0"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5"/>
  <sheetViews>
    <sheetView tabSelected="1" zoomScale="200" zoomScaleNormal="200" workbookViewId="0">
      <selection activeCell="C6" sqref="C6"/>
    </sheetView>
  </sheetViews>
  <sheetFormatPr defaultRowHeight="15" x14ac:dyDescent="0.25"/>
  <sheetData>
    <row r="2" spans="1:13" x14ac:dyDescent="0.25">
      <c r="A2" s="2" t="s">
        <v>148</v>
      </c>
      <c r="B2" s="3"/>
      <c r="C2" s="3"/>
      <c r="D2" s="3"/>
      <c r="E2" s="3"/>
      <c r="F2" s="3"/>
      <c r="G2" s="3"/>
      <c r="H2" s="3"/>
      <c r="I2" s="3"/>
      <c r="J2" s="3"/>
      <c r="K2" s="3"/>
      <c r="L2" s="3"/>
      <c r="M2" s="4"/>
    </row>
    <row r="3" spans="1:13" ht="15.75" thickBot="1" x14ac:dyDescent="0.3">
      <c r="A3" s="27" t="s">
        <v>146</v>
      </c>
      <c r="B3" s="28"/>
      <c r="C3" s="28"/>
      <c r="D3" s="28"/>
      <c r="E3" s="28"/>
      <c r="F3" s="28"/>
      <c r="H3" s="28" t="s">
        <v>145</v>
      </c>
      <c r="I3" s="28"/>
      <c r="J3" s="28"/>
      <c r="K3" s="28"/>
      <c r="L3" s="28"/>
      <c r="M3" s="29"/>
    </row>
    <row r="4" spans="1:13" ht="15.75" thickBot="1" x14ac:dyDescent="0.3">
      <c r="A4" s="5"/>
      <c r="M4" s="6"/>
    </row>
    <row r="5" spans="1:13" ht="15.75" thickBot="1" x14ac:dyDescent="0.3">
      <c r="A5" s="11" t="s">
        <v>143</v>
      </c>
      <c r="B5" s="1" t="s">
        <v>6</v>
      </c>
      <c r="C5" s="39">
        <v>19</v>
      </c>
      <c r="D5" s="1" t="s">
        <v>7</v>
      </c>
      <c r="E5" s="34">
        <f>C5*12</f>
        <v>228</v>
      </c>
      <c r="H5" s="30" t="s">
        <v>144</v>
      </c>
      <c r="J5" s="1" t="s">
        <v>7</v>
      </c>
      <c r="K5" s="40">
        <v>133</v>
      </c>
      <c r="M5" s="6"/>
    </row>
    <row r="6" spans="1:13" ht="15.75" thickBot="1" x14ac:dyDescent="0.3">
      <c r="A6" s="5"/>
      <c r="E6" s="35"/>
      <c r="M6" s="6"/>
    </row>
    <row r="7" spans="1:13" ht="15.75" thickBot="1" x14ac:dyDescent="0.3">
      <c r="A7" s="11" t="s">
        <v>147</v>
      </c>
      <c r="C7" s="1" t="s">
        <v>8</v>
      </c>
      <c r="D7" s="39">
        <v>16</v>
      </c>
      <c r="E7" s="1" t="s">
        <v>9</v>
      </c>
      <c r="F7" s="39">
        <v>9</v>
      </c>
      <c r="I7" s="1" t="s">
        <v>8</v>
      </c>
      <c r="J7" s="39">
        <v>16</v>
      </c>
      <c r="K7" s="1" t="s">
        <v>9</v>
      </c>
      <c r="L7" s="39">
        <v>9</v>
      </c>
      <c r="M7" s="6"/>
    </row>
    <row r="8" spans="1:13" ht="15.75" thickBot="1" x14ac:dyDescent="0.3">
      <c r="A8" s="5"/>
      <c r="M8" s="6"/>
    </row>
    <row r="9" spans="1:13" ht="15.75" thickBot="1" x14ac:dyDescent="0.3">
      <c r="A9" s="50" t="s">
        <v>1</v>
      </c>
      <c r="B9" s="51"/>
      <c r="C9" s="52"/>
      <c r="D9" s="36">
        <f>SQRT(D7^2+F7^2)*D10/F7</f>
        <v>77.509696725117905</v>
      </c>
      <c r="I9" s="31" t="s">
        <v>0</v>
      </c>
      <c r="J9" s="1" t="s">
        <v>6</v>
      </c>
      <c r="K9" s="36">
        <f>M9/12</f>
        <v>32.602372435565172</v>
      </c>
      <c r="L9" s="1" t="s">
        <v>7</v>
      </c>
      <c r="M9" s="48">
        <f>K5*L7/SQRT(J7^2+L7^2)*6</f>
        <v>391.22846922678207</v>
      </c>
    </row>
    <row r="10" spans="1:13" ht="15.75" thickBot="1" x14ac:dyDescent="0.3">
      <c r="A10" s="50" t="s">
        <v>2</v>
      </c>
      <c r="B10" s="51"/>
      <c r="C10" s="52"/>
      <c r="D10" s="36">
        <f>E5/6</f>
        <v>38</v>
      </c>
      <c r="M10" s="6"/>
    </row>
    <row r="11" spans="1:13" ht="15.75" thickBot="1" x14ac:dyDescent="0.3">
      <c r="A11" s="50" t="s">
        <v>3</v>
      </c>
      <c r="B11" s="51"/>
      <c r="C11" s="52"/>
      <c r="D11" s="36">
        <f>(D7*D10)/F7</f>
        <v>67.555555555555557</v>
      </c>
      <c r="H11" s="51" t="s">
        <v>2</v>
      </c>
      <c r="I11" s="51"/>
      <c r="J11" s="52"/>
      <c r="K11" s="36">
        <f>K5*L7/SQRT(J7^2+L7^2)</f>
        <v>65.204744871130345</v>
      </c>
      <c r="M11" s="6"/>
    </row>
    <row r="12" spans="1:13" ht="15.75" thickBot="1" x14ac:dyDescent="0.3">
      <c r="A12" s="32"/>
      <c r="B12" s="31"/>
      <c r="C12" s="31"/>
      <c r="D12" s="33"/>
      <c r="H12" s="51" t="s">
        <v>3</v>
      </c>
      <c r="I12" s="51"/>
      <c r="J12" s="52"/>
      <c r="K12" s="36">
        <f>K5*J7/SQRT(J7^2+L7^2)</f>
        <v>115.91954643756506</v>
      </c>
      <c r="M12" s="6"/>
    </row>
    <row r="13" spans="1:13" ht="15.75" thickBot="1" x14ac:dyDescent="0.3">
      <c r="A13" s="8"/>
      <c r="B13" s="9"/>
      <c r="C13" s="42" t="s">
        <v>149</v>
      </c>
      <c r="D13" s="36">
        <f>D10*D11/144</f>
        <v>17.827160493827162</v>
      </c>
      <c r="E13" s="43" t="s">
        <v>150</v>
      </c>
      <c r="F13" s="9"/>
      <c r="G13" s="9"/>
      <c r="H13" s="9"/>
      <c r="I13" s="9"/>
      <c r="J13" s="42" t="s">
        <v>149</v>
      </c>
      <c r="K13" s="36">
        <f>K11*K12/144</f>
        <v>52.489614243323444</v>
      </c>
      <c r="L13" s="43" t="s">
        <v>150</v>
      </c>
      <c r="M13" s="10"/>
    </row>
    <row r="14" spans="1:13" x14ac:dyDescent="0.25">
      <c r="J14" s="31"/>
      <c r="L14" s="30"/>
    </row>
    <row r="15" spans="1:13" ht="15.75" thickBot="1" x14ac:dyDescent="0.3">
      <c r="A15" s="2" t="s">
        <v>151</v>
      </c>
      <c r="B15" s="3"/>
      <c r="C15" s="3"/>
      <c r="D15" s="3"/>
      <c r="E15" s="3"/>
      <c r="F15" s="3"/>
      <c r="G15" s="3"/>
      <c r="H15" s="3"/>
      <c r="I15" s="3"/>
      <c r="J15" s="4"/>
      <c r="L15" s="30"/>
    </row>
    <row r="16" spans="1:13" ht="15.75" thickBot="1" x14ac:dyDescent="0.3">
      <c r="A16" s="53" t="s">
        <v>154</v>
      </c>
      <c r="B16" s="54"/>
      <c r="C16" s="54"/>
      <c r="D16" s="54"/>
      <c r="E16" s="54"/>
      <c r="F16" s="54"/>
      <c r="G16" s="54"/>
      <c r="H16" s="54"/>
      <c r="I16" s="55"/>
      <c r="J16" s="46">
        <v>10</v>
      </c>
      <c r="L16" s="30"/>
    </row>
    <row r="17" spans="1:13" ht="15.75" thickBot="1" x14ac:dyDescent="0.3">
      <c r="A17" s="53" t="s">
        <v>155</v>
      </c>
      <c r="B17" s="54"/>
      <c r="C17" s="54"/>
      <c r="D17" s="54"/>
      <c r="E17" s="54"/>
      <c r="F17" s="54"/>
      <c r="G17" s="54"/>
      <c r="H17" s="54"/>
      <c r="I17" s="55"/>
      <c r="J17" s="46">
        <v>15</v>
      </c>
      <c r="L17" s="30"/>
    </row>
    <row r="18" spans="1:13" ht="15.75" thickBot="1" x14ac:dyDescent="0.3">
      <c r="A18" s="53" t="s">
        <v>157</v>
      </c>
      <c r="B18" s="54"/>
      <c r="C18" s="54"/>
      <c r="D18" s="54"/>
      <c r="E18" s="54"/>
      <c r="F18" s="54"/>
      <c r="G18" s="54"/>
      <c r="H18" s="54"/>
      <c r="I18" s="55"/>
      <c r="J18" s="47">
        <f>J16*J17*(D10*D11/144)</f>
        <v>2674.0740740740744</v>
      </c>
      <c r="L18" s="30"/>
    </row>
    <row r="19" spans="1:13" ht="15.75" thickBot="1" x14ac:dyDescent="0.3">
      <c r="A19" s="5"/>
      <c r="J19" s="6"/>
      <c r="L19" s="30"/>
    </row>
    <row r="20" spans="1:13" x14ac:dyDescent="0.25">
      <c r="A20" s="8" t="s">
        <v>156</v>
      </c>
      <c r="B20" s="9"/>
      <c r="C20" s="9"/>
      <c r="D20" s="9"/>
      <c r="E20" s="9"/>
      <c r="F20" s="42" t="s">
        <v>152</v>
      </c>
      <c r="G20" s="44">
        <v>100</v>
      </c>
      <c r="H20" s="42" t="s">
        <v>153</v>
      </c>
      <c r="I20" s="45">
        <f>G20*0.09290304</f>
        <v>9.2903040000000008</v>
      </c>
      <c r="J20" s="10"/>
      <c r="L20" s="30"/>
    </row>
    <row r="22" spans="1:13" x14ac:dyDescent="0.25">
      <c r="A22" s="2" t="s">
        <v>132</v>
      </c>
      <c r="B22" s="3"/>
      <c r="C22" s="3"/>
      <c r="D22" s="3"/>
      <c r="E22" s="3"/>
      <c r="F22" s="3"/>
      <c r="G22" s="3"/>
      <c r="H22" s="3"/>
      <c r="I22" s="3"/>
      <c r="J22" s="3"/>
      <c r="K22" s="3"/>
      <c r="L22" s="3"/>
      <c r="M22" s="4"/>
    </row>
    <row r="23" spans="1:13" x14ac:dyDescent="0.25">
      <c r="A23" s="5" t="s">
        <v>10</v>
      </c>
      <c r="M23" s="6"/>
    </row>
    <row r="24" spans="1:13" x14ac:dyDescent="0.25">
      <c r="A24" s="5" t="s">
        <v>12</v>
      </c>
      <c r="M24" s="6"/>
    </row>
    <row r="25" spans="1:13" ht="15.75" thickBot="1" x14ac:dyDescent="0.3">
      <c r="A25" s="5"/>
      <c r="M25" s="6"/>
    </row>
    <row r="26" spans="1:13" ht="15.75" thickBot="1" x14ac:dyDescent="0.3">
      <c r="A26" s="5" t="s">
        <v>11</v>
      </c>
      <c r="D26" s="34">
        <f>E5/200</f>
        <v>1.1399999999999999</v>
      </c>
      <c r="E26" t="s">
        <v>13</v>
      </c>
      <c r="M26" s="6"/>
    </row>
    <row r="27" spans="1:13" x14ac:dyDescent="0.25">
      <c r="A27" s="8"/>
      <c r="B27" s="9"/>
      <c r="C27" s="9"/>
      <c r="D27" s="9"/>
      <c r="E27" s="9"/>
      <c r="F27" s="9"/>
      <c r="G27" s="9"/>
      <c r="H27" s="9"/>
      <c r="I27" s="9"/>
      <c r="J27" s="9"/>
      <c r="K27" s="9"/>
      <c r="L27" s="9"/>
      <c r="M27" s="10"/>
    </row>
    <row r="29" spans="1:13" x14ac:dyDescent="0.25">
      <c r="A29" s="2" t="s">
        <v>131</v>
      </c>
      <c r="B29" s="3"/>
      <c r="C29" s="3"/>
      <c r="D29" s="3"/>
      <c r="E29" s="3"/>
      <c r="F29" s="3"/>
      <c r="G29" s="3"/>
      <c r="H29" s="3"/>
      <c r="I29" s="3"/>
      <c r="J29" s="3"/>
      <c r="K29" s="3"/>
      <c r="L29" s="3"/>
      <c r="M29" s="4"/>
    </row>
    <row r="30" spans="1:13" x14ac:dyDescent="0.25">
      <c r="A30" s="5" t="s">
        <v>23</v>
      </c>
      <c r="M30" s="6"/>
    </row>
    <row r="31" spans="1:13" x14ac:dyDescent="0.25">
      <c r="A31" s="5"/>
      <c r="M31" s="6"/>
    </row>
    <row r="32" spans="1:13" x14ac:dyDescent="0.25">
      <c r="A32" s="5" t="s">
        <v>21</v>
      </c>
      <c r="M32" s="6"/>
    </row>
    <row r="33" spans="1:13" x14ac:dyDescent="0.25">
      <c r="A33" s="5" t="s">
        <v>22</v>
      </c>
      <c r="M33" s="6"/>
    </row>
    <row r="34" spans="1:13" ht="15.75" thickBot="1" x14ac:dyDescent="0.3">
      <c r="A34" s="5"/>
      <c r="M34" s="6"/>
    </row>
    <row r="35" spans="1:13" ht="15.75" thickBot="1" x14ac:dyDescent="0.3">
      <c r="A35" s="11" t="s">
        <v>18</v>
      </c>
      <c r="I35" s="39">
        <v>48</v>
      </c>
      <c r="M35" s="6"/>
    </row>
    <row r="36" spans="1:13" ht="15.75" thickBot="1" x14ac:dyDescent="0.3">
      <c r="A36" s="11" t="s">
        <v>17</v>
      </c>
      <c r="I36" s="39">
        <v>48</v>
      </c>
      <c r="M36" s="6"/>
    </row>
    <row r="37" spans="1:13" ht="15.75" thickBot="1" x14ac:dyDescent="0.3">
      <c r="A37" s="11" t="s">
        <v>19</v>
      </c>
      <c r="I37" s="36">
        <f>(D10+I36-I35)*1.732</f>
        <v>65.816000000000003</v>
      </c>
      <c r="J37" t="s">
        <v>13</v>
      </c>
      <c r="K37" s="36">
        <f>I37/12</f>
        <v>5.4846666666666666</v>
      </c>
      <c r="L37" t="s">
        <v>20</v>
      </c>
      <c r="M37" s="6"/>
    </row>
    <row r="38" spans="1:13" x14ac:dyDescent="0.25">
      <c r="A38" s="8"/>
      <c r="B38" s="9"/>
      <c r="C38" s="9"/>
      <c r="D38" s="9"/>
      <c r="E38" s="9"/>
      <c r="F38" s="9"/>
      <c r="G38" s="9"/>
      <c r="H38" s="9"/>
      <c r="I38" s="9"/>
      <c r="J38" s="9"/>
      <c r="K38" s="9"/>
      <c r="L38" s="9"/>
      <c r="M38" s="10"/>
    </row>
    <row r="40" spans="1:13" x14ac:dyDescent="0.25">
      <c r="A40" s="30" t="s">
        <v>133</v>
      </c>
    </row>
    <row r="41" spans="1:13" ht="45" customHeight="1" x14ac:dyDescent="0.25">
      <c r="A41" s="49" t="s">
        <v>136</v>
      </c>
      <c r="B41" s="49"/>
      <c r="C41" s="49"/>
      <c r="D41" s="49"/>
      <c r="E41" s="49"/>
      <c r="F41" s="49"/>
      <c r="G41" s="49"/>
      <c r="H41" s="49"/>
      <c r="I41" s="49"/>
      <c r="J41" s="49"/>
      <c r="K41" s="49"/>
      <c r="L41" s="49"/>
      <c r="M41" s="49"/>
    </row>
    <row r="43" spans="1:13" x14ac:dyDescent="0.25">
      <c r="A43" s="30" t="s">
        <v>137</v>
      </c>
      <c r="D43" s="41">
        <v>0.4</v>
      </c>
    </row>
    <row r="44" spans="1:13" x14ac:dyDescent="0.25">
      <c r="A44" s="30" t="s">
        <v>138</v>
      </c>
      <c r="D44" s="37">
        <f>D43*0.0393700787</f>
        <v>1.5748031480000001E-2</v>
      </c>
    </row>
    <row r="45" spans="1:13" x14ac:dyDescent="0.25">
      <c r="A45" s="30" t="s">
        <v>16</v>
      </c>
      <c r="D45" s="38">
        <f>D44*3438</f>
        <v>54.141732228240002</v>
      </c>
      <c r="E45" t="s">
        <v>13</v>
      </c>
      <c r="F45" s="38">
        <f>D45/12</f>
        <v>4.5118110190200005</v>
      </c>
      <c r="G45" t="s">
        <v>20</v>
      </c>
    </row>
  </sheetData>
  <sheetProtection formatCells="0"/>
  <mergeCells count="9">
    <mergeCell ref="A41:M41"/>
    <mergeCell ref="A9:C9"/>
    <mergeCell ref="A10:C10"/>
    <mergeCell ref="A11:C11"/>
    <mergeCell ref="H11:J11"/>
    <mergeCell ref="H12:J12"/>
    <mergeCell ref="A16:I16"/>
    <mergeCell ref="A17:I17"/>
    <mergeCell ref="A18:I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M27"/>
  <sheetViews>
    <sheetView workbookViewId="0">
      <selection activeCell="D26" sqref="D26"/>
    </sheetView>
  </sheetViews>
  <sheetFormatPr defaultRowHeight="15" x14ac:dyDescent="0.25"/>
  <cols>
    <col min="1" max="1" width="12.7109375" customWidth="1"/>
    <col min="2" max="2" width="8.7109375" customWidth="1"/>
    <col min="3" max="3" width="16.7109375" customWidth="1"/>
    <col min="4" max="4" width="8.7109375" customWidth="1"/>
    <col min="5" max="5" width="12.7109375" customWidth="1"/>
    <col min="6" max="8" width="8.7109375" customWidth="1"/>
    <col min="9" max="9" width="9.7109375" customWidth="1"/>
    <col min="11" max="11" width="24.140625" bestFit="1" customWidth="1"/>
  </cols>
  <sheetData>
    <row r="4" spans="1:13" x14ac:dyDescent="0.25">
      <c r="A4" s="56" t="s">
        <v>128</v>
      </c>
      <c r="B4" s="56"/>
      <c r="C4" s="56"/>
      <c r="D4" s="56"/>
      <c r="E4" s="56" t="s">
        <v>129</v>
      </c>
      <c r="F4" s="56"/>
      <c r="G4" s="56"/>
      <c r="H4" s="56"/>
      <c r="I4" s="3"/>
      <c r="J4" s="3"/>
      <c r="K4" s="3"/>
      <c r="L4" s="4"/>
    </row>
    <row r="5" spans="1:13" x14ac:dyDescent="0.25">
      <c r="A5" s="22" t="s">
        <v>89</v>
      </c>
      <c r="B5" s="20">
        <v>1</v>
      </c>
      <c r="C5" s="7" t="s">
        <v>95</v>
      </c>
      <c r="D5" s="20">
        <v>1</v>
      </c>
      <c r="E5" s="7" t="s">
        <v>96</v>
      </c>
      <c r="F5" s="21">
        <f>+B5/D5</f>
        <v>1</v>
      </c>
      <c r="G5" s="23" t="s">
        <v>99</v>
      </c>
      <c r="H5" s="21">
        <f>+D5*B5</f>
        <v>1</v>
      </c>
      <c r="K5" t="s">
        <v>83</v>
      </c>
      <c r="L5" s="6"/>
    </row>
    <row r="6" spans="1:13" x14ac:dyDescent="0.25">
      <c r="A6" s="22" t="s">
        <v>89</v>
      </c>
      <c r="B6" s="12">
        <v>1</v>
      </c>
      <c r="C6" s="7" t="s">
        <v>92</v>
      </c>
      <c r="D6" s="12">
        <v>1</v>
      </c>
      <c r="E6" s="7" t="s">
        <v>97</v>
      </c>
      <c r="F6" s="13">
        <f>+B6/D6</f>
        <v>1</v>
      </c>
      <c r="G6" s="23" t="s">
        <v>99</v>
      </c>
      <c r="H6" s="13">
        <f>B6^2/D6</f>
        <v>1</v>
      </c>
      <c r="K6" t="s">
        <v>84</v>
      </c>
      <c r="L6" s="6"/>
    </row>
    <row r="7" spans="1:13" x14ac:dyDescent="0.25">
      <c r="A7" s="22" t="s">
        <v>89</v>
      </c>
      <c r="B7" s="12">
        <v>1</v>
      </c>
      <c r="C7" s="7" t="s">
        <v>93</v>
      </c>
      <c r="D7" s="12">
        <v>1</v>
      </c>
      <c r="E7" s="7" t="s">
        <v>96</v>
      </c>
      <c r="F7" s="14">
        <f>B7^2/D7</f>
        <v>1</v>
      </c>
      <c r="G7" s="23" t="s">
        <v>97</v>
      </c>
      <c r="H7" s="13">
        <f>B7/F7</f>
        <v>1</v>
      </c>
      <c r="K7" t="s">
        <v>85</v>
      </c>
      <c r="L7" s="6"/>
    </row>
    <row r="8" spans="1:13" x14ac:dyDescent="0.25">
      <c r="A8" s="22" t="s">
        <v>90</v>
      </c>
      <c r="B8" s="12">
        <v>1</v>
      </c>
      <c r="C8" s="7" t="s">
        <v>94</v>
      </c>
      <c r="D8" s="12">
        <v>1</v>
      </c>
      <c r="E8" s="7" t="s">
        <v>98</v>
      </c>
      <c r="F8" s="13">
        <f>+D8*B8</f>
        <v>1</v>
      </c>
      <c r="G8" s="23" t="s">
        <v>99</v>
      </c>
      <c r="H8" s="13">
        <f>B8^2*D8</f>
        <v>1</v>
      </c>
      <c r="K8" t="s">
        <v>86</v>
      </c>
      <c r="L8" s="6"/>
    </row>
    <row r="9" spans="1:13" x14ac:dyDescent="0.25">
      <c r="A9" s="22" t="s">
        <v>91</v>
      </c>
      <c r="B9" s="12">
        <v>1</v>
      </c>
      <c r="C9" s="7" t="s">
        <v>92</v>
      </c>
      <c r="D9" s="12">
        <v>1</v>
      </c>
      <c r="E9" s="7" t="s">
        <v>97</v>
      </c>
      <c r="F9" s="13">
        <f>SQRT(B9/D9)</f>
        <v>1</v>
      </c>
      <c r="G9" s="23" t="s">
        <v>98</v>
      </c>
      <c r="H9" s="13">
        <f>SQRT(D9*B9)</f>
        <v>1</v>
      </c>
      <c r="K9" t="s">
        <v>87</v>
      </c>
      <c r="L9" s="6"/>
    </row>
    <row r="10" spans="1:13" x14ac:dyDescent="0.25">
      <c r="A10" s="22" t="s">
        <v>91</v>
      </c>
      <c r="B10" s="12">
        <v>1</v>
      </c>
      <c r="C10" s="7" t="s">
        <v>95</v>
      </c>
      <c r="D10" s="12">
        <v>1</v>
      </c>
      <c r="E10" s="7" t="s">
        <v>96</v>
      </c>
      <c r="F10" s="15">
        <f>B10/(D10^2)</f>
        <v>1</v>
      </c>
      <c r="G10" s="23" t="s">
        <v>98</v>
      </c>
      <c r="H10" s="13">
        <f>+F10*D10</f>
        <v>1</v>
      </c>
      <c r="K10" t="s">
        <v>88</v>
      </c>
      <c r="L10" s="6"/>
    </row>
    <row r="11" spans="1:13" x14ac:dyDescent="0.25">
      <c r="A11" s="8"/>
      <c r="B11" s="9"/>
      <c r="C11" s="9"/>
      <c r="D11" s="9"/>
      <c r="E11" s="9"/>
      <c r="F11" s="9"/>
      <c r="G11" s="9"/>
      <c r="H11" s="9"/>
      <c r="I11" s="9"/>
      <c r="J11" s="9"/>
      <c r="K11" s="9"/>
      <c r="L11" s="10"/>
    </row>
    <row r="14" spans="1:13" x14ac:dyDescent="0.25">
      <c r="A14" s="24" t="s">
        <v>130</v>
      </c>
      <c r="B14" s="3"/>
      <c r="C14" s="3"/>
      <c r="D14" s="3"/>
      <c r="E14" s="3"/>
      <c r="F14" s="3"/>
      <c r="G14" s="3"/>
      <c r="H14" s="3"/>
      <c r="I14" s="3"/>
      <c r="J14" s="3"/>
      <c r="K14" s="3"/>
      <c r="L14" s="3"/>
      <c r="M14" s="4"/>
    </row>
    <row r="15" spans="1:13" x14ac:dyDescent="0.25">
      <c r="A15" s="5"/>
      <c r="M15" s="6"/>
    </row>
    <row r="16" spans="1:13" x14ac:dyDescent="0.25">
      <c r="A16" s="5" t="s">
        <v>100</v>
      </c>
      <c r="C16" s="1" t="s">
        <v>101</v>
      </c>
      <c r="D16" s="12">
        <v>0</v>
      </c>
      <c r="E16" t="s">
        <v>102</v>
      </c>
      <c r="G16" t="s">
        <v>113</v>
      </c>
      <c r="K16" s="1" t="s">
        <v>114</v>
      </c>
      <c r="L16" s="12">
        <v>1</v>
      </c>
      <c r="M16" s="6" t="s">
        <v>81</v>
      </c>
    </row>
    <row r="17" spans="1:13" x14ac:dyDescent="0.25">
      <c r="A17" s="5"/>
      <c r="C17" s="1" t="s">
        <v>103</v>
      </c>
      <c r="D17" s="16">
        <f>D16-2.21</f>
        <v>-2.21</v>
      </c>
      <c r="E17" t="s">
        <v>104</v>
      </c>
      <c r="G17" t="s">
        <v>126</v>
      </c>
      <c r="K17" s="1" t="s">
        <v>115</v>
      </c>
      <c r="L17" s="12">
        <v>4</v>
      </c>
      <c r="M17" s="6" t="s">
        <v>81</v>
      </c>
    </row>
    <row r="18" spans="1:13" x14ac:dyDescent="0.25">
      <c r="A18" s="5"/>
      <c r="K18" s="1" t="s">
        <v>116</v>
      </c>
      <c r="L18" s="19">
        <f>10*LOG(L17/L16)</f>
        <v>6.0205999132796242</v>
      </c>
      <c r="M18" s="6" t="s">
        <v>117</v>
      </c>
    </row>
    <row r="19" spans="1:13" x14ac:dyDescent="0.25">
      <c r="A19" s="5" t="s">
        <v>105</v>
      </c>
      <c r="C19" s="1" t="s">
        <v>106</v>
      </c>
      <c r="D19" s="12">
        <v>0</v>
      </c>
      <c r="E19" t="s">
        <v>104</v>
      </c>
      <c r="M19" s="6"/>
    </row>
    <row r="20" spans="1:13" x14ac:dyDescent="0.25">
      <c r="A20" s="5"/>
      <c r="C20" s="1" t="s">
        <v>107</v>
      </c>
      <c r="D20" s="16">
        <f>D19+2.21</f>
        <v>2.21</v>
      </c>
      <c r="E20" t="s">
        <v>102</v>
      </c>
      <c r="G20" t="s">
        <v>118</v>
      </c>
      <c r="K20" s="1" t="s">
        <v>119</v>
      </c>
      <c r="L20" s="12">
        <v>3</v>
      </c>
      <c r="M20" s="6"/>
    </row>
    <row r="21" spans="1:13" x14ac:dyDescent="0.25">
      <c r="A21" s="5"/>
      <c r="G21" t="s">
        <v>127</v>
      </c>
      <c r="K21" s="1" t="s">
        <v>120</v>
      </c>
      <c r="L21" s="12">
        <v>6</v>
      </c>
      <c r="M21" s="6"/>
    </row>
    <row r="22" spans="1:13" x14ac:dyDescent="0.25">
      <c r="A22" s="5" t="s">
        <v>108</v>
      </c>
      <c r="C22" s="1" t="s">
        <v>109</v>
      </c>
      <c r="D22" s="12">
        <v>4</v>
      </c>
      <c r="E22" t="s">
        <v>102</v>
      </c>
      <c r="K22" s="1" t="s">
        <v>121</v>
      </c>
      <c r="L22" s="19">
        <f>20*LOG(L20/L21)</f>
        <v>-6.0205999132796242</v>
      </c>
      <c r="M22" s="6" t="s">
        <v>117</v>
      </c>
    </row>
    <row r="23" spans="1:13" x14ac:dyDescent="0.25">
      <c r="A23" s="5"/>
      <c r="C23" s="1" t="s">
        <v>110</v>
      </c>
      <c r="D23" s="17">
        <f>0.775*10^(D22/20)</f>
        <v>1.2282922241573631</v>
      </c>
      <c r="E23" t="s">
        <v>82</v>
      </c>
      <c r="M23" s="6"/>
    </row>
    <row r="24" spans="1:13" x14ac:dyDescent="0.25">
      <c r="A24" s="5"/>
      <c r="G24" t="s">
        <v>122</v>
      </c>
      <c r="K24" s="1" t="s">
        <v>123</v>
      </c>
      <c r="L24" s="12">
        <v>1</v>
      </c>
      <c r="M24" s="6" t="s">
        <v>82</v>
      </c>
    </row>
    <row r="25" spans="1:13" x14ac:dyDescent="0.25">
      <c r="A25" s="5" t="s">
        <v>111</v>
      </c>
      <c r="C25" s="1" t="s">
        <v>112</v>
      </c>
      <c r="D25" s="12">
        <v>1.23</v>
      </c>
      <c r="E25" t="s">
        <v>82</v>
      </c>
      <c r="G25" t="s">
        <v>125</v>
      </c>
      <c r="K25" s="1" t="s">
        <v>124</v>
      </c>
      <c r="L25" s="12">
        <v>2</v>
      </c>
      <c r="M25" s="6" t="s">
        <v>82</v>
      </c>
    </row>
    <row r="26" spans="1:13" x14ac:dyDescent="0.25">
      <c r="A26" s="5"/>
      <c r="C26" s="1" t="s">
        <v>107</v>
      </c>
      <c r="D26" s="18">
        <f>20*LOG(D25/0.775)</f>
        <v>4.0120681786617514</v>
      </c>
      <c r="E26" t="s">
        <v>102</v>
      </c>
      <c r="K26" s="1" t="s">
        <v>116</v>
      </c>
      <c r="L26" s="19">
        <f>20*LOG(L25/L24)</f>
        <v>6.0205999132796242</v>
      </c>
      <c r="M26" s="6" t="s">
        <v>117</v>
      </c>
    </row>
    <row r="27" spans="1:13" x14ac:dyDescent="0.25">
      <c r="A27" s="8"/>
      <c r="B27" s="9"/>
      <c r="C27" s="9"/>
      <c r="D27" s="9"/>
      <c r="E27" s="9"/>
      <c r="F27" s="9"/>
      <c r="G27" s="9"/>
      <c r="H27" s="9"/>
      <c r="I27" s="9"/>
      <c r="J27" s="9"/>
      <c r="K27" s="9"/>
      <c r="L27" s="9"/>
      <c r="M27" s="10"/>
    </row>
  </sheetData>
  <mergeCells count="2">
    <mergeCell ref="A4:D4"/>
    <mergeCell ref="E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86"/>
  <sheetViews>
    <sheetView topLeftCell="A4" zoomScale="200" zoomScaleNormal="200" workbookViewId="0">
      <selection activeCell="A16" sqref="A16"/>
    </sheetView>
  </sheetViews>
  <sheetFormatPr defaultRowHeight="15" x14ac:dyDescent="0.25"/>
  <cols>
    <col min="2" max="2" width="12.7109375" customWidth="1"/>
  </cols>
  <sheetData>
    <row r="2" spans="1:5" x14ac:dyDescent="0.25">
      <c r="A2" t="s">
        <v>26</v>
      </c>
    </row>
    <row r="3" spans="1:5" x14ac:dyDescent="0.25">
      <c r="A3" t="s">
        <v>27</v>
      </c>
    </row>
    <row r="5" spans="1:5" x14ac:dyDescent="0.25">
      <c r="A5" t="s">
        <v>14</v>
      </c>
    </row>
    <row r="6" spans="1:5" x14ac:dyDescent="0.25">
      <c r="A6" t="s">
        <v>15</v>
      </c>
    </row>
    <row r="7" spans="1:5" x14ac:dyDescent="0.25">
      <c r="A7" t="s">
        <v>25</v>
      </c>
    </row>
    <row r="8" spans="1:5" x14ac:dyDescent="0.25">
      <c r="A8" t="s">
        <v>24</v>
      </c>
    </row>
    <row r="10" spans="1:5" x14ac:dyDescent="0.25">
      <c r="A10" t="s">
        <v>28</v>
      </c>
    </row>
    <row r="11" spans="1:5" x14ac:dyDescent="0.25">
      <c r="B11" t="s">
        <v>29</v>
      </c>
    </row>
    <row r="13" spans="1:5" x14ac:dyDescent="0.25">
      <c r="A13" t="s">
        <v>37</v>
      </c>
    </row>
    <row r="14" spans="1:5" x14ac:dyDescent="0.25">
      <c r="A14" s="25">
        <v>35</v>
      </c>
      <c r="B14" t="s">
        <v>38</v>
      </c>
    </row>
    <row r="15" spans="1:5" x14ac:dyDescent="0.25">
      <c r="A15" s="25">
        <v>40</v>
      </c>
      <c r="B15" t="s">
        <v>4</v>
      </c>
      <c r="D15" s="1" t="s">
        <v>135</v>
      </c>
      <c r="E15" s="26">
        <f>A14*A15</f>
        <v>1400</v>
      </c>
    </row>
    <row r="16" spans="1:5" x14ac:dyDescent="0.25">
      <c r="A16" s="25">
        <v>10</v>
      </c>
      <c r="B16" t="s">
        <v>5</v>
      </c>
      <c r="D16" s="1" t="s">
        <v>134</v>
      </c>
      <c r="E16" s="26">
        <f>A14*A15*A16</f>
        <v>14000</v>
      </c>
    </row>
    <row r="18" spans="1:2" x14ac:dyDescent="0.25">
      <c r="A18" t="s">
        <v>30</v>
      </c>
    </row>
    <row r="19" spans="1:2" x14ac:dyDescent="0.25">
      <c r="B19" t="s">
        <v>39</v>
      </c>
    </row>
    <row r="20" spans="1:2" x14ac:dyDescent="0.25">
      <c r="B20" t="s">
        <v>40</v>
      </c>
    </row>
    <row r="21" spans="1:2" x14ac:dyDescent="0.25">
      <c r="B21" t="s">
        <v>42</v>
      </c>
    </row>
    <row r="22" spans="1:2" x14ac:dyDescent="0.25">
      <c r="B22" t="s">
        <v>43</v>
      </c>
    </row>
    <row r="24" spans="1:2" x14ac:dyDescent="0.25">
      <c r="B24" t="s">
        <v>31</v>
      </c>
    </row>
    <row r="26" spans="1:2" x14ac:dyDescent="0.25">
      <c r="B26" t="s">
        <v>36</v>
      </c>
    </row>
    <row r="28" spans="1:2" x14ac:dyDescent="0.25">
      <c r="A28" t="s">
        <v>32</v>
      </c>
    </row>
    <row r="29" spans="1:2" x14ac:dyDescent="0.25">
      <c r="B29" t="s">
        <v>33</v>
      </c>
    </row>
    <row r="30" spans="1:2" x14ac:dyDescent="0.25">
      <c r="B30" t="s">
        <v>34</v>
      </c>
    </row>
    <row r="31" spans="1:2" x14ac:dyDescent="0.25">
      <c r="B31" t="s">
        <v>41</v>
      </c>
    </row>
    <row r="32" spans="1:2" x14ac:dyDescent="0.25">
      <c r="B32" t="s">
        <v>67</v>
      </c>
    </row>
    <row r="33" spans="1:6" x14ac:dyDescent="0.25">
      <c r="B33" t="s">
        <v>35</v>
      </c>
    </row>
    <row r="35" spans="1:6" x14ac:dyDescent="0.25">
      <c r="A35" t="s">
        <v>44</v>
      </c>
    </row>
    <row r="36" spans="1:6" x14ac:dyDescent="0.25">
      <c r="B36" t="s">
        <v>45</v>
      </c>
    </row>
    <row r="37" spans="1:6" x14ac:dyDescent="0.25">
      <c r="B37" t="s">
        <v>46</v>
      </c>
    </row>
    <row r="38" spans="1:6" x14ac:dyDescent="0.25">
      <c r="B38" t="s">
        <v>47</v>
      </c>
    </row>
    <row r="39" spans="1:6" x14ac:dyDescent="0.25">
      <c r="B39" t="s">
        <v>49</v>
      </c>
    </row>
    <row r="40" spans="1:6" x14ac:dyDescent="0.25">
      <c r="B40" t="s">
        <v>56</v>
      </c>
    </row>
    <row r="41" spans="1:6" x14ac:dyDescent="0.25">
      <c r="B41" t="s">
        <v>48</v>
      </c>
    </row>
    <row r="43" spans="1:6" x14ac:dyDescent="0.25">
      <c r="A43" t="s">
        <v>50</v>
      </c>
    </row>
    <row r="44" spans="1:6" x14ac:dyDescent="0.25">
      <c r="C44" t="s">
        <v>57</v>
      </c>
      <c r="D44" t="s">
        <v>58</v>
      </c>
      <c r="E44" t="s">
        <v>59</v>
      </c>
      <c r="F44" t="s">
        <v>60</v>
      </c>
    </row>
    <row r="45" spans="1:6" x14ac:dyDescent="0.25">
      <c r="B45" t="s">
        <v>51</v>
      </c>
    </row>
    <row r="46" spans="1:6" x14ac:dyDescent="0.25">
      <c r="B46" t="s">
        <v>52</v>
      </c>
    </row>
    <row r="47" spans="1:6" x14ac:dyDescent="0.25">
      <c r="B47" t="s">
        <v>53</v>
      </c>
    </row>
    <row r="48" spans="1:6" x14ac:dyDescent="0.25">
      <c r="B48" t="s">
        <v>54</v>
      </c>
    </row>
    <row r="49" spans="1:3" x14ac:dyDescent="0.25">
      <c r="B49" t="s">
        <v>55</v>
      </c>
    </row>
    <row r="50" spans="1:3" x14ac:dyDescent="0.25">
      <c r="B50" t="s">
        <v>56</v>
      </c>
    </row>
    <row r="52" spans="1:3" x14ac:dyDescent="0.25">
      <c r="A52" t="s">
        <v>61</v>
      </c>
    </row>
    <row r="53" spans="1:3" x14ac:dyDescent="0.25">
      <c r="B53" t="s">
        <v>62</v>
      </c>
    </row>
    <row r="54" spans="1:3" x14ac:dyDescent="0.25">
      <c r="B54" t="s">
        <v>63</v>
      </c>
    </row>
    <row r="55" spans="1:3" x14ac:dyDescent="0.25">
      <c r="B55" t="s">
        <v>64</v>
      </c>
    </row>
    <row r="57" spans="1:3" x14ac:dyDescent="0.25">
      <c r="B57" t="s">
        <v>77</v>
      </c>
    </row>
    <row r="58" spans="1:3" x14ac:dyDescent="0.25">
      <c r="C58" t="s">
        <v>79</v>
      </c>
    </row>
    <row r="59" spans="1:3" x14ac:dyDescent="0.25">
      <c r="C59" t="s">
        <v>65</v>
      </c>
    </row>
    <row r="60" spans="1:3" x14ac:dyDescent="0.25">
      <c r="C60" t="s">
        <v>75</v>
      </c>
    </row>
    <row r="61" spans="1:3" x14ac:dyDescent="0.25">
      <c r="C61" t="s">
        <v>76</v>
      </c>
    </row>
    <row r="62" spans="1:3" x14ac:dyDescent="0.25">
      <c r="C62" t="s">
        <v>66</v>
      </c>
    </row>
    <row r="63" spans="1:3" x14ac:dyDescent="0.25">
      <c r="B63" t="s">
        <v>78</v>
      </c>
    </row>
    <row r="64" spans="1:3" x14ac:dyDescent="0.25">
      <c r="C64" t="s">
        <v>80</v>
      </c>
    </row>
    <row r="65" spans="1:3" x14ac:dyDescent="0.25">
      <c r="C65" t="s">
        <v>65</v>
      </c>
    </row>
    <row r="66" spans="1:3" x14ac:dyDescent="0.25">
      <c r="C66" t="s">
        <v>75</v>
      </c>
    </row>
    <row r="67" spans="1:3" x14ac:dyDescent="0.25">
      <c r="C67" t="s">
        <v>76</v>
      </c>
    </row>
    <row r="70" spans="1:3" x14ac:dyDescent="0.25">
      <c r="A70" t="s">
        <v>68</v>
      </c>
    </row>
    <row r="71" spans="1:3" x14ac:dyDescent="0.25">
      <c r="B71" t="s">
        <v>69</v>
      </c>
    </row>
    <row r="72" spans="1:3" x14ac:dyDescent="0.25">
      <c r="B72" t="s">
        <v>70</v>
      </c>
    </row>
    <row r="73" spans="1:3" x14ac:dyDescent="0.25">
      <c r="B73" t="s">
        <v>71</v>
      </c>
    </row>
    <row r="74" spans="1:3" x14ac:dyDescent="0.25">
      <c r="B74" t="s">
        <v>72</v>
      </c>
    </row>
    <row r="77" spans="1:3" x14ac:dyDescent="0.25">
      <c r="A77" t="s">
        <v>140</v>
      </c>
    </row>
    <row r="78" spans="1:3" x14ac:dyDescent="0.25">
      <c r="B78" t="s">
        <v>141</v>
      </c>
    </row>
    <row r="79" spans="1:3" x14ac:dyDescent="0.25">
      <c r="B79" t="s">
        <v>142</v>
      </c>
    </row>
    <row r="82" spans="1:2" x14ac:dyDescent="0.25">
      <c r="A82" t="s">
        <v>73</v>
      </c>
    </row>
    <row r="83" spans="1:2" x14ac:dyDescent="0.25">
      <c r="B83" t="s">
        <v>74</v>
      </c>
    </row>
    <row r="86" spans="1:2" x14ac:dyDescent="0.25">
      <c r="A8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Calculations</vt:lpstr>
      <vt:lpstr>Ohms Law</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Kehr</dc:creator>
  <cp:lastModifiedBy>Tom Kehr</cp:lastModifiedBy>
  <dcterms:created xsi:type="dcterms:W3CDTF">2020-11-02T20:30:41Z</dcterms:created>
  <dcterms:modified xsi:type="dcterms:W3CDTF">2023-08-07T21:06:24Z</dcterms:modified>
</cp:coreProperties>
</file>